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SalTrf-UYr-Pool\U-Year Worksheets\U-Year Website Documents\"/>
    </mc:Choice>
  </mc:AlternateContent>
  <bookViews>
    <workbookView xWindow="0" yWindow="30" windowWidth="14175" windowHeight="8850" tabRatio="792"/>
  </bookViews>
  <sheets>
    <sheet name="20-21 Analysis Fall" sheetId="1" r:id="rId1"/>
    <sheet name="Fall Term Proration" sheetId="6" r:id="rId2"/>
  </sheets>
  <calcPr calcId="162913"/>
</workbook>
</file>

<file path=xl/calcChain.xml><?xml version="1.0" encoding="utf-8"?>
<calcChain xmlns="http://schemas.openxmlformats.org/spreadsheetml/2006/main">
  <c r="F34" i="6" l="1"/>
  <c r="E34" i="6"/>
  <c r="D34" i="6"/>
  <c r="K14" i="1"/>
  <c r="K15" i="1"/>
  <c r="G31" i="1"/>
  <c r="H31" i="1"/>
  <c r="K31" i="1" s="1"/>
  <c r="I31" i="1"/>
  <c r="G32" i="1"/>
  <c r="H32" i="1"/>
  <c r="I32" i="1"/>
  <c r="I30" i="1"/>
  <c r="H30" i="1"/>
  <c r="G30" i="1"/>
  <c r="H28" i="1"/>
  <c r="K28" i="1" s="1"/>
  <c r="G28" i="1"/>
  <c r="F28" i="1"/>
  <c r="I28" i="1"/>
  <c r="K27" i="1"/>
  <c r="K29" i="1"/>
  <c r="K30" i="1"/>
  <c r="K32" i="1"/>
  <c r="H27" i="1"/>
  <c r="G27" i="1"/>
  <c r="G26" i="1"/>
  <c r="H26" i="1"/>
  <c r="H25" i="1" l="1"/>
  <c r="G25" i="1"/>
  <c r="I25" i="1" l="1"/>
  <c r="I23" i="1"/>
  <c r="I19" i="1"/>
  <c r="K13" i="1"/>
  <c r="H23" i="1"/>
  <c r="H25" i="6"/>
  <c r="H28" i="6" s="1"/>
  <c r="H29" i="6" s="1"/>
  <c r="E29" i="6"/>
  <c r="D29" i="6"/>
  <c r="E28" i="6"/>
  <c r="D28" i="6"/>
  <c r="E27" i="6"/>
  <c r="D27" i="6"/>
  <c r="E25" i="6"/>
  <c r="E24" i="6"/>
  <c r="C14" i="6"/>
  <c r="C5" i="6"/>
  <c r="G25" i="6"/>
  <c r="G28" i="6"/>
  <c r="G29" i="6" s="1"/>
  <c r="H14" i="6"/>
  <c r="F14" i="6"/>
  <c r="D25" i="6"/>
  <c r="D24" i="6"/>
  <c r="F23" i="1"/>
  <c r="H19" i="1"/>
  <c r="F25" i="1"/>
  <c r="A15" i="6"/>
  <c r="B34" i="1"/>
  <c r="B36" i="1" s="1"/>
  <c r="F3" i="1"/>
  <c r="F4" i="1" s="1"/>
  <c r="F5" i="1" s="1"/>
  <c r="F6" i="1" s="1"/>
  <c r="F7" i="1" s="1"/>
  <c r="B15" i="6"/>
  <c r="H5" i="1"/>
  <c r="H3" i="1"/>
  <c r="O37" i="6"/>
  <c r="A24" i="6"/>
  <c r="C6" i="6"/>
  <c r="I40" i="6"/>
  <c r="J40" i="6"/>
  <c r="K40" i="6"/>
  <c r="L40" i="6"/>
  <c r="M40" i="6"/>
  <c r="N40" i="6"/>
  <c r="K12" i="1"/>
  <c r="K16" i="1"/>
  <c r="K17" i="1"/>
  <c r="C19" i="1"/>
  <c r="D19" i="1"/>
  <c r="E19" i="1"/>
  <c r="F19" i="1"/>
  <c r="C23" i="1"/>
  <c r="D23" i="1"/>
  <c r="E23" i="1"/>
  <c r="G23" i="1"/>
  <c r="H40" i="6"/>
  <c r="G40" i="6"/>
  <c r="B24" i="6"/>
  <c r="K11" i="1"/>
  <c r="G19" i="1"/>
  <c r="E40" i="6"/>
  <c r="D40" i="6"/>
  <c r="O34" i="6"/>
  <c r="F40" i="6"/>
  <c r="B25" i="6"/>
  <c r="B17" i="6"/>
  <c r="B18" i="6" s="1"/>
  <c r="O40" i="6" l="1"/>
  <c r="A25" i="6"/>
  <c r="B28" i="6"/>
  <c r="B19" i="6"/>
  <c r="B27" i="6"/>
  <c r="H6" i="1"/>
  <c r="D30" i="1"/>
  <c r="E30" i="1"/>
  <c r="C30" i="1"/>
  <c r="F30" i="1"/>
  <c r="G14" i="6"/>
  <c r="K19" i="1"/>
  <c r="K25" i="1"/>
  <c r="F26" i="1"/>
  <c r="I26" i="1"/>
  <c r="C15" i="6"/>
  <c r="H15" i="6" s="1"/>
  <c r="I15" i="6" s="1"/>
  <c r="C24" i="6"/>
  <c r="I14" i="6"/>
  <c r="A27" i="6" l="1"/>
  <c r="A18" i="6"/>
  <c r="K26" i="1"/>
  <c r="E31" i="1"/>
  <c r="F31" i="1"/>
  <c r="D31" i="1"/>
  <c r="B29" i="6"/>
  <c r="C31" i="1"/>
  <c r="H7" i="1"/>
  <c r="J14" i="6"/>
  <c r="F24" i="6" s="1"/>
  <c r="I24" i="6" s="1"/>
  <c r="F15" i="6"/>
  <c r="G15" i="6" s="1"/>
  <c r="J15" i="6" s="1"/>
  <c r="F25" i="6" s="1"/>
  <c r="I25" i="6" s="1"/>
  <c r="C25" i="6"/>
  <c r="A28" i="6" l="1"/>
  <c r="A19" i="6"/>
  <c r="F32" i="1"/>
  <c r="F34" i="1" s="1"/>
  <c r="F36" i="1" s="1"/>
  <c r="E32" i="1"/>
  <c r="E34" i="1" s="1"/>
  <c r="E36" i="1" s="1"/>
  <c r="I34" i="1"/>
  <c r="I36" i="1" s="1"/>
  <c r="H34" i="1"/>
  <c r="H36" i="1" s="1"/>
  <c r="C32" i="1"/>
  <c r="D32" i="1"/>
  <c r="D34" i="1" s="1"/>
  <c r="D36" i="1" s="1"/>
  <c r="G34" i="1"/>
  <c r="G36" i="1" s="1"/>
  <c r="A29" i="6" l="1"/>
  <c r="K34" i="1"/>
  <c r="K36" i="1" s="1"/>
  <c r="C34" i="1"/>
  <c r="C36" i="1" s="1"/>
  <c r="C18" i="6"/>
  <c r="C27" i="6"/>
  <c r="H17" i="6"/>
  <c r="I17" i="6" s="1"/>
  <c r="F17" i="6"/>
  <c r="G17" i="6" s="1"/>
  <c r="J17" i="6" l="1"/>
  <c r="F27" i="6" s="1"/>
  <c r="I27" i="6" s="1"/>
  <c r="C19" i="6"/>
  <c r="C28" i="6"/>
  <c r="H18" i="6"/>
  <c r="I18" i="6" s="1"/>
  <c r="F18" i="6"/>
  <c r="G18" i="6" s="1"/>
  <c r="J18" i="6" l="1"/>
  <c r="F28" i="6" s="1"/>
  <c r="I28" i="6" s="1"/>
  <c r="C29" i="6"/>
  <c r="F19" i="6"/>
  <c r="G19" i="6" s="1"/>
  <c r="H19" i="6"/>
  <c r="I19" i="6" s="1"/>
  <c r="J19" i="6" l="1"/>
  <c r="F29" i="6" s="1"/>
  <c r="I29" i="6" s="1"/>
  <c r="J30" i="6" l="1"/>
</calcChain>
</file>

<file path=xl/sharedStrings.xml><?xml version="1.0" encoding="utf-8"?>
<sst xmlns="http://schemas.openxmlformats.org/spreadsheetml/2006/main" count="179" uniqueCount="78">
  <si>
    <t>NAME:</t>
  </si>
  <si>
    <t>DATE:</t>
  </si>
  <si>
    <t>WAS PAID:</t>
  </si>
  <si>
    <t>TOTAL</t>
  </si>
  <si>
    <t>S/B PAID:</t>
  </si>
  <si>
    <t>DIFF</t>
  </si>
  <si>
    <t>-</t>
  </si>
  <si>
    <t>EMPL ID</t>
  </si>
  <si>
    <t>Record #</t>
  </si>
  <si>
    <t>Date:</t>
  </si>
  <si>
    <t>*</t>
  </si>
  <si>
    <t>Rcd</t>
  </si>
  <si>
    <t>Shortcode</t>
  </si>
  <si>
    <t>Distribution</t>
  </si>
  <si>
    <t>Months</t>
  </si>
  <si>
    <t>Total</t>
  </si>
  <si>
    <t>Shortcode:</t>
  </si>
  <si>
    <t>----------------</t>
  </si>
  <si>
    <t>Transfer Amount:</t>
  </si>
  <si>
    <t>******</t>
  </si>
  <si>
    <t>-------</t>
  </si>
  <si>
    <t>Short Code</t>
  </si>
  <si>
    <t>July - August</t>
  </si>
  <si>
    <t>Monthly Charge</t>
  </si>
  <si>
    <t>Sep - Dec</t>
  </si>
  <si>
    <t>Total for Shortcode</t>
  </si>
  <si>
    <t>---------------------------------------------</t>
  </si>
  <si>
    <t>---------------------------------------------------------------</t>
  </si>
  <si>
    <t>-----------------------------------------------------</t>
  </si>
  <si>
    <t>-----------------------------------------------------------------------------------------</t>
  </si>
  <si>
    <t>Job</t>
  </si>
  <si>
    <t>Effort</t>
  </si>
  <si>
    <t>July</t>
  </si>
  <si>
    <t>August</t>
  </si>
  <si>
    <t>September</t>
  </si>
  <si>
    <t>October</t>
  </si>
  <si>
    <t>November</t>
  </si>
  <si>
    <t>December</t>
  </si>
  <si>
    <t>Name:</t>
  </si>
  <si>
    <t>EmplId:</t>
  </si>
  <si>
    <t>Reason:</t>
  </si>
  <si>
    <t>Monthly Rate</t>
  </si>
  <si>
    <t>Term Total</t>
  </si>
  <si>
    <t>ANN ARBOR/FLINT</t>
  </si>
  <si>
    <t>Proration Term Charges</t>
  </si>
  <si>
    <t>Job Data Term charges:</t>
  </si>
  <si>
    <t xml:space="preserve">(from s/b paid analysis) </t>
  </si>
  <si>
    <t>(From above)</t>
  </si>
  <si>
    <t>(Times)</t>
  </si>
  <si>
    <t>(Divided By)</t>
  </si>
  <si>
    <t>(Equals)</t>
  </si>
  <si>
    <t>(Charge Jul - Aug * 2 +</t>
  </si>
  <si>
    <t>Charge Sep - Dec * 4)</t>
  </si>
  <si>
    <t>(Shortcode % * Rt)</t>
  </si>
  <si>
    <t>By Shortcode (from above)</t>
  </si>
  <si>
    <t>Job Effort</t>
  </si>
  <si>
    <t>Monthly Salary</t>
  </si>
  <si>
    <t>Distribution Proration</t>
  </si>
  <si>
    <t>090833*</t>
  </si>
  <si>
    <t xml:space="preserve">* Enter Federally Sponsored shortcodes to the left of the ENP shortcode </t>
  </si>
  <si>
    <t>* Enter Non Federally Sponsored Shortcodes to the right of the ENP shortcode</t>
  </si>
  <si>
    <t xml:space="preserve"> </t>
  </si>
  <si>
    <t xml:space="preserve"> Week Days </t>
  </si>
  <si>
    <t>20-21 FALL TERM PRORATION</t>
  </si>
  <si>
    <t>Week Days in Fall Term</t>
  </si>
  <si>
    <t>Ann Arbor/Flint</t>
  </si>
  <si>
    <t>Non-Sponsored Fall DBE Proration</t>
  </si>
  <si>
    <t>Proj 7/31/20</t>
  </si>
  <si>
    <t>Proj 8/31/2020</t>
  </si>
  <si>
    <t>Proj 9/30/2020</t>
  </si>
  <si>
    <t>Proj 10/31/2020</t>
  </si>
  <si>
    <t>Proj 11/30/2020</t>
  </si>
  <si>
    <t>Proj 12-31-2020</t>
  </si>
  <si>
    <t>Pror Trans 2020</t>
  </si>
  <si>
    <t>Proj Sept Offcycle</t>
  </si>
  <si>
    <t>2020</t>
  </si>
  <si>
    <t>8/31-9/30</t>
  </si>
  <si>
    <t>10/1-12/31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</si>
</sst>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0000000"/>
    <numFmt numFmtId="165" formatCode="000000"/>
    <numFmt numFmtId="167" formatCode="0.000%"/>
  </numFmts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sz val="10"/>
      <name val="Arial Unicode MS"/>
      <family val="2"/>
    </font>
    <font>
      <sz val="10"/>
      <name val="Arial Unicode MS"/>
      <family val="2"/>
    </font>
    <font>
      <sz val="10"/>
      <name val="Arial Unicode MS"/>
      <family val="2"/>
    </font>
    <font>
      <sz val="10"/>
      <name val="Arial Unicode MS"/>
      <family val="2"/>
    </font>
    <font>
      <sz val="10"/>
      <name val="Arial Unicode MS"/>
      <family val="2"/>
    </font>
    <font>
      <sz val="10"/>
      <name val="Arial Unicode MS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4" fillId="0" borderId="0"/>
    <xf numFmtId="0" fontId="13" fillId="0" borderId="0"/>
    <xf numFmtId="9" fontId="2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14" fontId="1" fillId="0" borderId="0" xfId="0" applyNumberFormat="1" applyFont="1"/>
    <xf numFmtId="43" fontId="3" fillId="0" borderId="0" xfId="1" applyFont="1"/>
    <xf numFmtId="43" fontId="4" fillId="0" borderId="0" xfId="1" applyFont="1"/>
    <xf numFmtId="43" fontId="1" fillId="0" borderId="0" xfId="1" applyFont="1"/>
    <xf numFmtId="0" fontId="0" fillId="0" borderId="0" xfId="0" quotePrefix="1" applyAlignment="1">
      <alignment horizontal="fill"/>
    </xf>
    <xf numFmtId="49" fontId="1" fillId="0" borderId="0" xfId="0" quotePrefix="1" applyNumberFormat="1" applyFont="1" applyAlignment="1">
      <alignment horizontal="center"/>
    </xf>
    <xf numFmtId="0" fontId="4" fillId="0" borderId="0" xfId="0" applyFont="1"/>
    <xf numFmtId="14" fontId="4" fillId="0" borderId="0" xfId="0" applyNumberFormat="1" applyFont="1"/>
    <xf numFmtId="43" fontId="0" fillId="0" borderId="0" xfId="1" applyFont="1"/>
    <xf numFmtId="0" fontId="4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4" fillId="0" borderId="0" xfId="0" applyNumberFormat="1" applyFont="1"/>
    <xf numFmtId="43" fontId="0" fillId="0" borderId="0" xfId="1" applyFont="1" applyBorder="1"/>
    <xf numFmtId="165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right"/>
    </xf>
    <xf numFmtId="14" fontId="4" fillId="0" borderId="0" xfId="0" applyNumberFormat="1" applyFont="1" applyBorder="1"/>
    <xf numFmtId="0" fontId="0" fillId="0" borderId="0" xfId="0" quotePrefix="1"/>
    <xf numFmtId="0" fontId="0" fillId="0" borderId="0" xfId="0" applyAlignment="1">
      <alignment horizontal="fill"/>
    </xf>
    <xf numFmtId="0" fontId="0" fillId="0" borderId="1" xfId="0" applyBorder="1"/>
    <xf numFmtId="0" fontId="4" fillId="0" borderId="3" xfId="0" applyFont="1" applyBorder="1"/>
    <xf numFmtId="0" fontId="1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7" fontId="0" fillId="0" borderId="1" xfId="0" applyNumberFormat="1" applyBorder="1"/>
    <xf numFmtId="43" fontId="0" fillId="0" borderId="1" xfId="1" applyFont="1" applyBorder="1"/>
    <xf numFmtId="49" fontId="0" fillId="0" borderId="0" xfId="0" applyNumberFormat="1" applyAlignment="1">
      <alignment horizontal="fill" vertical="center"/>
    </xf>
    <xf numFmtId="0" fontId="4" fillId="0" borderId="1" xfId="0" applyFont="1" applyBorder="1" applyAlignment="1">
      <alignment horizontal="center"/>
    </xf>
    <xf numFmtId="0" fontId="0" fillId="0" borderId="0" xfId="0" applyBorder="1"/>
    <xf numFmtId="165" fontId="4" fillId="0" borderId="0" xfId="0" applyNumberFormat="1" applyFont="1" applyAlignment="1">
      <alignment horizontal="center"/>
    </xf>
    <xf numFmtId="43" fontId="4" fillId="0" borderId="0" xfId="1" applyFont="1" applyAlignment="1">
      <alignment horizontal="center"/>
    </xf>
    <xf numFmtId="0" fontId="0" fillId="0" borderId="0" xfId="1" applyNumberFormat="1" applyFont="1"/>
    <xf numFmtId="0" fontId="0" fillId="0" borderId="0" xfId="1" quotePrefix="1" applyNumberFormat="1" applyFont="1"/>
    <xf numFmtId="14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3" fontId="0" fillId="0" borderId="1" xfId="1" applyNumberFormat="1" applyFont="1" applyBorder="1"/>
    <xf numFmtId="0" fontId="3" fillId="0" borderId="0" xfId="1" quotePrefix="1" applyNumberFormat="1" applyFont="1"/>
    <xf numFmtId="0" fontId="3" fillId="0" borderId="0" xfId="0" quotePrefix="1" applyFont="1"/>
    <xf numFmtId="0" fontId="4" fillId="0" borderId="3" xfId="0" applyFont="1" applyBorder="1" applyAlignment="1">
      <alignment horizontal="center"/>
    </xf>
    <xf numFmtId="0" fontId="0" fillId="0" borderId="1" xfId="0" applyNumberFormat="1" applyBorder="1"/>
    <xf numFmtId="43" fontId="0" fillId="0" borderId="1" xfId="0" applyNumberFormat="1" applyBorder="1"/>
    <xf numFmtId="0" fontId="0" fillId="0" borderId="1" xfId="1" applyNumberFormat="1" applyFont="1" applyBorder="1"/>
    <xf numFmtId="43" fontId="0" fillId="0" borderId="1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43" fontId="0" fillId="0" borderId="0" xfId="0" applyNumberFormat="1" applyBorder="1"/>
    <xf numFmtId="43" fontId="0" fillId="0" borderId="5" xfId="1" applyFont="1" applyBorder="1"/>
    <xf numFmtId="43" fontId="0" fillId="0" borderId="2" xfId="1" applyFont="1" applyBorder="1"/>
    <xf numFmtId="0" fontId="0" fillId="0" borderId="6" xfId="0" applyBorder="1"/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center"/>
    </xf>
    <xf numFmtId="0" fontId="3" fillId="0" borderId="4" xfId="1" quotePrefix="1" applyNumberFormat="1" applyFont="1" applyBorder="1"/>
    <xf numFmtId="167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43" fontId="2" fillId="0" borderId="0" xfId="1" applyFont="1"/>
    <xf numFmtId="43" fontId="2" fillId="0" borderId="0" xfId="1" applyFont="1" applyBorder="1"/>
    <xf numFmtId="43" fontId="0" fillId="0" borderId="1" xfId="0" applyNumberFormat="1" applyBorder="1" applyAlignment="1"/>
    <xf numFmtId="167" fontId="2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10" fontId="1" fillId="0" borderId="0" xfId="0" applyNumberFormat="1" applyFont="1" applyAlignment="1">
      <alignment horizontal="left"/>
    </xf>
    <xf numFmtId="167" fontId="0" fillId="0" borderId="1" xfId="9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0" fontId="0" fillId="0" borderId="0" xfId="0" applyFill="1"/>
    <xf numFmtId="0" fontId="4" fillId="0" borderId="0" xfId="0" applyFont="1" applyBorder="1" applyAlignment="1">
      <alignment horizontal="left"/>
    </xf>
    <xf numFmtId="0" fontId="1" fillId="0" borderId="0" xfId="0" applyFont="1" applyBorder="1"/>
    <xf numFmtId="17" fontId="2" fillId="0" borderId="6" xfId="0" quotePrefix="1" applyNumberFormat="1" applyFont="1" applyBorder="1"/>
    <xf numFmtId="43" fontId="4" fillId="0" borderId="0" xfId="0" applyNumberFormat="1" applyFont="1" applyBorder="1"/>
    <xf numFmtId="43" fontId="4" fillId="0" borderId="0" xfId="1" applyFont="1" applyBorder="1"/>
    <xf numFmtId="43" fontId="2" fillId="0" borderId="0" xfId="1" applyFont="1" applyAlignment="1">
      <alignment horizontal="center"/>
    </xf>
    <xf numFmtId="43" fontId="4" fillId="0" borderId="0" xfId="1" applyFont="1" applyAlignment="1">
      <alignment horizontal="center" wrapText="1"/>
    </xf>
    <xf numFmtId="0" fontId="4" fillId="0" borderId="0" xfId="0" applyFont="1" applyFill="1" applyAlignment="1">
      <alignment horizontal="left"/>
    </xf>
    <xf numFmtId="0" fontId="1" fillId="0" borderId="0" xfId="0" applyFont="1" applyFill="1"/>
    <xf numFmtId="0" fontId="4" fillId="0" borderId="0" xfId="0" applyFont="1" applyFill="1" applyAlignment="1"/>
    <xf numFmtId="0" fontId="0" fillId="0" borderId="0" xfId="0" quotePrefix="1" applyBorder="1"/>
    <xf numFmtId="167" fontId="0" fillId="0" borderId="0" xfId="9" applyNumberFormat="1" applyFont="1"/>
    <xf numFmtId="0" fontId="1" fillId="0" borderId="0" xfId="0" applyFont="1" applyFill="1" applyAlignment="1">
      <alignment horizontal="left"/>
    </xf>
    <xf numFmtId="14" fontId="2" fillId="0" borderId="0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14" fontId="1" fillId="0" borderId="0" xfId="0" quotePrefix="1" applyNumberFormat="1" applyFont="1" applyAlignment="1">
      <alignment horizontal="left"/>
    </xf>
  </cellXfs>
  <cellStyles count="10">
    <cellStyle name="Comma" xfId="1" builtinId="3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Percent" xfId="9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128"/>
  <sheetViews>
    <sheetView tabSelected="1"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K41" sqref="K41"/>
    </sheetView>
  </sheetViews>
  <sheetFormatPr defaultRowHeight="12.75" x14ac:dyDescent="0.2"/>
  <cols>
    <col min="1" max="1" width="16.85546875" customWidth="1"/>
    <col min="2" max="2" width="5.140625" customWidth="1"/>
    <col min="3" max="6" width="10.85546875" customWidth="1"/>
    <col min="7" max="7" width="12.42578125" customWidth="1"/>
    <col min="8" max="9" width="10.85546875" customWidth="1"/>
    <col min="10" max="10" width="3.42578125" customWidth="1"/>
    <col min="11" max="11" width="11.140625" customWidth="1"/>
    <col min="12" max="12" width="11" bestFit="1" customWidth="1"/>
    <col min="13" max="13" width="8" bestFit="1" customWidth="1"/>
  </cols>
  <sheetData>
    <row r="1" spans="1:12" x14ac:dyDescent="0.2">
      <c r="A1" s="1" t="s">
        <v>0</v>
      </c>
      <c r="B1" s="1"/>
      <c r="C1" s="85" t="s">
        <v>65</v>
      </c>
      <c r="D1" s="81"/>
      <c r="E1" s="81"/>
      <c r="F1" s="70" t="s">
        <v>55</v>
      </c>
      <c r="G1" s="87" t="s">
        <v>56</v>
      </c>
      <c r="H1" s="87"/>
      <c r="J1" s="1"/>
    </row>
    <row r="2" spans="1:12" x14ac:dyDescent="0.2">
      <c r="A2" s="1" t="s">
        <v>7</v>
      </c>
      <c r="B2" s="13"/>
      <c r="C2" s="85" t="s">
        <v>66</v>
      </c>
      <c r="D2" s="8"/>
      <c r="E2" s="8"/>
      <c r="F2" s="71">
        <v>0.5</v>
      </c>
      <c r="G2" s="1" t="s">
        <v>32</v>
      </c>
      <c r="H2" s="5">
        <v>4500</v>
      </c>
      <c r="J2" s="2"/>
    </row>
    <row r="3" spans="1:12" x14ac:dyDescent="0.2">
      <c r="A3" s="1" t="s">
        <v>1</v>
      </c>
      <c r="B3" s="9"/>
      <c r="C3" s="89">
        <v>2020</v>
      </c>
      <c r="D3" s="9"/>
      <c r="E3" s="9"/>
      <c r="F3" s="71">
        <f>F2</f>
        <v>0.5</v>
      </c>
      <c r="G3" s="8" t="s">
        <v>33</v>
      </c>
      <c r="H3" s="5">
        <f>H2</f>
        <v>4500</v>
      </c>
      <c r="J3" s="2"/>
    </row>
    <row r="4" spans="1:12" x14ac:dyDescent="0.2">
      <c r="A4" s="1" t="s">
        <v>8</v>
      </c>
      <c r="B4" s="9"/>
      <c r="C4" s="89"/>
      <c r="D4" s="9"/>
      <c r="E4" s="9"/>
      <c r="F4" s="71">
        <f>+F3</f>
        <v>0.5</v>
      </c>
      <c r="G4" s="9" t="s">
        <v>34</v>
      </c>
      <c r="H4" s="5">
        <v>5000</v>
      </c>
      <c r="J4" s="2"/>
    </row>
    <row r="5" spans="1:12" x14ac:dyDescent="0.2">
      <c r="A5" s="1"/>
      <c r="B5" s="11"/>
      <c r="C5" s="11"/>
      <c r="D5" s="11"/>
      <c r="E5" s="11"/>
      <c r="F5" s="71">
        <f>F4</f>
        <v>0.5</v>
      </c>
      <c r="G5" s="9" t="s">
        <v>35</v>
      </c>
      <c r="H5" s="5">
        <f>H4</f>
        <v>5000</v>
      </c>
      <c r="J5" s="2"/>
    </row>
    <row r="6" spans="1:12" x14ac:dyDescent="0.2">
      <c r="A6" s="1"/>
      <c r="B6" s="1"/>
      <c r="C6" s="1"/>
      <c r="D6" s="1"/>
      <c r="E6" s="1"/>
      <c r="F6" s="71">
        <f>F5</f>
        <v>0.5</v>
      </c>
      <c r="G6" s="8" t="s">
        <v>36</v>
      </c>
      <c r="H6" s="5">
        <f>H5</f>
        <v>5000</v>
      </c>
      <c r="J6" s="1"/>
    </row>
    <row r="7" spans="1:12" x14ac:dyDescent="0.2">
      <c r="A7" s="1"/>
      <c r="B7" s="1"/>
      <c r="C7" s="1" t="s">
        <v>61</v>
      </c>
      <c r="D7" s="1"/>
      <c r="E7" s="1"/>
      <c r="F7" s="71">
        <f>F6</f>
        <v>0.5</v>
      </c>
      <c r="G7" s="1" t="s">
        <v>37</v>
      </c>
      <c r="H7" s="5">
        <f>H6</f>
        <v>5000</v>
      </c>
      <c r="I7" s="68"/>
      <c r="J7" s="1"/>
      <c r="K7" s="1"/>
      <c r="L7" s="5"/>
    </row>
    <row r="8" spans="1:12" x14ac:dyDescent="0.2">
      <c r="A8" s="1"/>
      <c r="B8" s="1"/>
      <c r="C8" s="1"/>
      <c r="D8" s="1"/>
      <c r="E8" s="1"/>
      <c r="F8" s="71"/>
      <c r="G8" s="1"/>
      <c r="H8" s="5"/>
      <c r="I8" s="68"/>
      <c r="J8" s="1"/>
      <c r="K8" s="1"/>
      <c r="L8" s="5"/>
    </row>
    <row r="9" spans="1:12" x14ac:dyDescent="0.2">
      <c r="A9" s="1" t="s">
        <v>2</v>
      </c>
      <c r="B9" s="12"/>
      <c r="C9" s="15">
        <v>0</v>
      </c>
      <c r="D9" s="15">
        <v>0</v>
      </c>
      <c r="E9" s="15">
        <v>0</v>
      </c>
      <c r="F9" s="15" t="s">
        <v>58</v>
      </c>
      <c r="G9" s="15">
        <v>122580</v>
      </c>
      <c r="H9" s="15">
        <v>184456</v>
      </c>
      <c r="I9" s="15">
        <v>412158</v>
      </c>
      <c r="J9" s="7"/>
      <c r="K9" s="1" t="s">
        <v>3</v>
      </c>
    </row>
    <row r="10" spans="1:12" x14ac:dyDescent="0.2">
      <c r="B10" s="6" t="s">
        <v>6</v>
      </c>
      <c r="C10" s="6" t="s">
        <v>6</v>
      </c>
      <c r="D10" s="6"/>
      <c r="E10" s="6"/>
      <c r="F10" s="6" t="s">
        <v>6</v>
      </c>
      <c r="G10" s="6"/>
      <c r="H10" s="6"/>
      <c r="I10" s="6"/>
      <c r="J10" s="6" t="s">
        <v>6</v>
      </c>
      <c r="K10" s="6" t="s">
        <v>6</v>
      </c>
    </row>
    <row r="11" spans="1:12" x14ac:dyDescent="0.2">
      <c r="A11" s="86" t="s">
        <v>67</v>
      </c>
      <c r="B11" s="10"/>
      <c r="C11" s="14"/>
      <c r="D11" s="14"/>
      <c r="E11" s="14"/>
      <c r="F11" s="14"/>
      <c r="G11" s="14"/>
      <c r="H11" s="14"/>
      <c r="I11" s="14"/>
      <c r="J11" s="6" t="s">
        <v>6</v>
      </c>
      <c r="K11" s="3">
        <f>SUM(B11:J11)</f>
        <v>0</v>
      </c>
    </row>
    <row r="12" spans="1:12" x14ac:dyDescent="0.2">
      <c r="A12" s="86" t="s">
        <v>68</v>
      </c>
      <c r="B12" s="10"/>
      <c r="C12" s="14"/>
      <c r="D12" s="14"/>
      <c r="E12" s="14"/>
      <c r="F12" s="14"/>
      <c r="G12" s="14">
        <v>107.14285714285714</v>
      </c>
      <c r="H12" s="14">
        <v>107.14285714285714</v>
      </c>
      <c r="I12" s="14">
        <v>0</v>
      </c>
      <c r="J12" s="6" t="s">
        <v>6</v>
      </c>
      <c r="K12" s="3">
        <f>SUM(B12:J12)</f>
        <v>214.28571428571428</v>
      </c>
    </row>
    <row r="13" spans="1:12" x14ac:dyDescent="0.2">
      <c r="A13" s="86" t="s">
        <v>74</v>
      </c>
      <c r="B13" s="10"/>
      <c r="C13" s="14"/>
      <c r="D13" s="14"/>
      <c r="E13" s="14"/>
      <c r="F13" s="14"/>
      <c r="G13" s="14">
        <v>4392.8571428571431</v>
      </c>
      <c r="H13" s="14">
        <v>4392.8571428571431</v>
      </c>
      <c r="I13" s="14"/>
      <c r="J13" s="6" t="s">
        <v>6</v>
      </c>
      <c r="K13" s="3">
        <f>SUM(B13:J13)</f>
        <v>8785.7142857142862</v>
      </c>
    </row>
    <row r="14" spans="1:12" x14ac:dyDescent="0.2">
      <c r="A14" s="86" t="s">
        <v>69</v>
      </c>
      <c r="B14" s="10"/>
      <c r="C14" s="14"/>
      <c r="D14" s="14"/>
      <c r="E14" s="14"/>
      <c r="F14" s="14"/>
      <c r="G14" s="14">
        <v>2500</v>
      </c>
      <c r="H14" s="14">
        <v>2500</v>
      </c>
      <c r="I14" s="14">
        <v>0</v>
      </c>
      <c r="J14" s="6"/>
      <c r="K14" s="3">
        <f t="shared" ref="K14:K15" si="0">SUM(B14:J14)</f>
        <v>5000</v>
      </c>
    </row>
    <row r="15" spans="1:12" x14ac:dyDescent="0.2">
      <c r="A15" s="86" t="s">
        <v>70</v>
      </c>
      <c r="B15" s="10"/>
      <c r="C15" s="14"/>
      <c r="D15" s="14"/>
      <c r="E15" s="14"/>
      <c r="F15" s="14"/>
      <c r="G15" s="14">
        <v>250</v>
      </c>
      <c r="H15" s="14">
        <v>4500</v>
      </c>
      <c r="I15" s="14">
        <v>250</v>
      </c>
      <c r="J15" s="6" t="s">
        <v>6</v>
      </c>
      <c r="K15" s="3">
        <f t="shared" si="0"/>
        <v>5000</v>
      </c>
    </row>
    <row r="16" spans="1:12" x14ac:dyDescent="0.2">
      <c r="A16" s="86" t="s">
        <v>71</v>
      </c>
      <c r="B16" s="10"/>
      <c r="C16" s="14"/>
      <c r="D16" s="14"/>
      <c r="E16" s="14"/>
      <c r="F16" s="14"/>
      <c r="G16" s="14">
        <v>250</v>
      </c>
      <c r="H16" s="14">
        <v>4500</v>
      </c>
      <c r="I16" s="14">
        <v>250</v>
      </c>
      <c r="J16" s="6" t="s">
        <v>6</v>
      </c>
      <c r="K16" s="3">
        <f>SUM(B16:J16)</f>
        <v>5000</v>
      </c>
    </row>
    <row r="17" spans="1:11" x14ac:dyDescent="0.2">
      <c r="A17" s="86" t="s">
        <v>72</v>
      </c>
      <c r="B17" s="10"/>
      <c r="C17" s="14"/>
      <c r="D17" s="14"/>
      <c r="E17" s="14"/>
      <c r="F17" s="14"/>
      <c r="G17" s="14">
        <v>250</v>
      </c>
      <c r="H17" s="14">
        <v>4500</v>
      </c>
      <c r="I17" s="14">
        <v>250</v>
      </c>
      <c r="J17" s="6" t="s">
        <v>6</v>
      </c>
      <c r="K17" s="3">
        <f>SUM(B17:J17)</f>
        <v>5000</v>
      </c>
    </row>
    <row r="18" spans="1:11" x14ac:dyDescent="0.2">
      <c r="B18" s="6" t="s">
        <v>6</v>
      </c>
      <c r="C18" s="6"/>
      <c r="D18" s="6"/>
      <c r="E18" s="6"/>
      <c r="F18" s="6"/>
      <c r="G18" s="6"/>
      <c r="H18" s="6"/>
      <c r="I18" s="6"/>
      <c r="J18" s="6" t="s">
        <v>6</v>
      </c>
      <c r="K18" s="6" t="s">
        <v>6</v>
      </c>
    </row>
    <row r="19" spans="1:11" x14ac:dyDescent="0.2">
      <c r="A19" s="1" t="s">
        <v>3</v>
      </c>
      <c r="B19" s="4"/>
      <c r="C19" s="4">
        <f>SUM(C10:C18)</f>
        <v>0</v>
      </c>
      <c r="D19" s="4">
        <f>SUM(D10:D18)</f>
        <v>0</v>
      </c>
      <c r="E19" s="4">
        <f>SUM(E10:E18)</f>
        <v>0</v>
      </c>
      <c r="F19" s="4">
        <f>SUM(F10:F18)</f>
        <v>0</v>
      </c>
      <c r="G19" s="4">
        <f>SUM(G10:G18)</f>
        <v>7750</v>
      </c>
      <c r="H19" s="4">
        <f>SUM(H10:H18)</f>
        <v>20500</v>
      </c>
      <c r="I19" s="4">
        <f>SUM(I10:I18)</f>
        <v>750</v>
      </c>
      <c r="J19" s="4"/>
      <c r="K19" s="4">
        <f>SUM(K10:K18)</f>
        <v>29000</v>
      </c>
    </row>
    <row r="20" spans="1:11" x14ac:dyDescent="0.2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3.9" customHeight="1" x14ac:dyDescent="0.2">
      <c r="A22" s="1"/>
      <c r="B22" s="4"/>
      <c r="C22" s="4"/>
      <c r="D22" s="4"/>
      <c r="E22" s="4"/>
      <c r="F22" s="79"/>
      <c r="G22" s="4"/>
      <c r="H22" s="4"/>
      <c r="I22" s="4"/>
      <c r="J22" s="4"/>
      <c r="K22" s="4"/>
    </row>
    <row r="23" spans="1:11" x14ac:dyDescent="0.2">
      <c r="A23" s="1" t="s">
        <v>4</v>
      </c>
      <c r="B23" s="12"/>
      <c r="C23" s="15">
        <f>C9</f>
        <v>0</v>
      </c>
      <c r="D23" s="15">
        <f>D9</f>
        <v>0</v>
      </c>
      <c r="E23" s="15">
        <f>E9</f>
        <v>0</v>
      </c>
      <c r="F23" s="15" t="str">
        <f>F9</f>
        <v>090833*</v>
      </c>
      <c r="G23" s="15">
        <f>G9</f>
        <v>122580</v>
      </c>
      <c r="H23" s="15">
        <f>H9</f>
        <v>184456</v>
      </c>
      <c r="I23" s="15">
        <f>I9</f>
        <v>412158</v>
      </c>
      <c r="J23" s="7"/>
      <c r="K23" s="5" t="s">
        <v>3</v>
      </c>
    </row>
    <row r="24" spans="1:11" x14ac:dyDescent="0.2">
      <c r="B24" s="6" t="s">
        <v>6</v>
      </c>
      <c r="C24" s="6"/>
      <c r="D24" s="6"/>
      <c r="E24" s="6"/>
      <c r="F24" s="6"/>
      <c r="G24" s="6"/>
      <c r="H24" s="6"/>
      <c r="I24" s="6"/>
      <c r="J24" s="6" t="s">
        <v>6</v>
      </c>
      <c r="K24" s="6" t="s">
        <v>6</v>
      </c>
    </row>
    <row r="25" spans="1:11" x14ac:dyDescent="0.2">
      <c r="A25" s="86" t="s">
        <v>67</v>
      </c>
      <c r="B25" s="10"/>
      <c r="C25" s="14"/>
      <c r="D25" s="14"/>
      <c r="E25" s="14"/>
      <c r="F25" s="10">
        <f>$H2*0</f>
        <v>0</v>
      </c>
      <c r="G25" s="10">
        <f>$H2*0</f>
        <v>0</v>
      </c>
      <c r="H25" s="10">
        <f>$H2*0</f>
        <v>0</v>
      </c>
      <c r="I25" s="10">
        <f>$H2*0</f>
        <v>0</v>
      </c>
      <c r="J25" s="6" t="s">
        <v>6</v>
      </c>
      <c r="K25" s="3">
        <f>SUM(B25:J25)</f>
        <v>0</v>
      </c>
    </row>
    <row r="26" spans="1:11" x14ac:dyDescent="0.2">
      <c r="A26" s="86" t="s">
        <v>68</v>
      </c>
      <c r="B26" s="10"/>
      <c r="C26" s="14"/>
      <c r="D26" s="14"/>
      <c r="E26" s="14"/>
      <c r="F26" s="10">
        <f>$H3*0</f>
        <v>0</v>
      </c>
      <c r="G26" s="10">
        <f>$H3*0.5*1/21</f>
        <v>107.14285714285714</v>
      </c>
      <c r="H26" s="10">
        <f>$H3*0.5*1/21</f>
        <v>107.14285714285714</v>
      </c>
      <c r="I26" s="10">
        <f>$H3*0</f>
        <v>0</v>
      </c>
      <c r="J26" s="6" t="s">
        <v>6</v>
      </c>
      <c r="K26" s="3">
        <f t="shared" ref="K26:K32" si="1">SUM(B26:J26)</f>
        <v>214.28571428571428</v>
      </c>
    </row>
    <row r="27" spans="1:11" x14ac:dyDescent="0.2">
      <c r="A27" s="86" t="s">
        <v>74</v>
      </c>
      <c r="B27" s="10"/>
      <c r="C27" s="14"/>
      <c r="D27" s="14"/>
      <c r="E27" s="14"/>
      <c r="F27" s="10"/>
      <c r="G27" s="10">
        <f>$H3*2*0.5-G26</f>
        <v>4392.8571428571431</v>
      </c>
      <c r="H27" s="10">
        <f>$H3*2*0.5-H26</f>
        <v>4392.8571428571431</v>
      </c>
      <c r="I27" s="10"/>
      <c r="J27" s="6"/>
      <c r="K27" s="3">
        <f t="shared" si="1"/>
        <v>8785.7142857142862</v>
      </c>
    </row>
    <row r="28" spans="1:11" x14ac:dyDescent="0.2">
      <c r="A28" s="86" t="s">
        <v>69</v>
      </c>
      <c r="B28" s="10"/>
      <c r="C28" s="14"/>
      <c r="D28" s="14"/>
      <c r="E28" s="14"/>
      <c r="F28" s="10">
        <f>$H3*0-($H$2*2+$H3*4)/4*0</f>
        <v>0</v>
      </c>
      <c r="G28" s="10">
        <f>$H4*0.5</f>
        <v>2500</v>
      </c>
      <c r="H28" s="10">
        <f>$H4*0.5</f>
        <v>2500</v>
      </c>
      <c r="I28" s="10">
        <f>$H3*0</f>
        <v>0</v>
      </c>
      <c r="J28" s="6"/>
      <c r="K28" s="3">
        <f t="shared" si="1"/>
        <v>5000</v>
      </c>
    </row>
    <row r="29" spans="1:11" x14ac:dyDescent="0.2">
      <c r="A29" s="86" t="s">
        <v>73</v>
      </c>
      <c r="B29" s="10"/>
      <c r="C29" s="14"/>
      <c r="D29" s="14"/>
      <c r="E29" s="14"/>
      <c r="F29" s="10"/>
      <c r="G29" s="10">
        <v>-2927.5280898876408</v>
      </c>
      <c r="H29" s="10">
        <v>2602.2471910112363</v>
      </c>
      <c r="I29" s="10">
        <v>325.28089887640454</v>
      </c>
      <c r="J29" s="6" t="s">
        <v>6</v>
      </c>
      <c r="K29" s="3">
        <f t="shared" si="1"/>
        <v>0</v>
      </c>
    </row>
    <row r="30" spans="1:11" x14ac:dyDescent="0.2">
      <c r="A30" s="86" t="s">
        <v>70</v>
      </c>
      <c r="B30" s="10"/>
      <c r="C30" s="14">
        <f>($H$2*2+$H5*4)/4*0</f>
        <v>0</v>
      </c>
      <c r="D30" s="14">
        <f>($H$2*2+$H5*4)/4*0</f>
        <v>0</v>
      </c>
      <c r="E30" s="14">
        <f>($H$2*2+$H5*4)/4*0</f>
        <v>0</v>
      </c>
      <c r="F30" s="10">
        <f>$H5*0-($H$2*2+$H5*4)/4*0</f>
        <v>0</v>
      </c>
      <c r="G30" s="10">
        <f>$H5*0.05</f>
        <v>250</v>
      </c>
      <c r="H30" s="10">
        <f>$H5*0.9</f>
        <v>4500</v>
      </c>
      <c r="I30" s="10">
        <f>$H5*0.05</f>
        <v>250</v>
      </c>
      <c r="J30" s="6" t="s">
        <v>6</v>
      </c>
      <c r="K30" s="3">
        <f t="shared" si="1"/>
        <v>5000</v>
      </c>
    </row>
    <row r="31" spans="1:11" x14ac:dyDescent="0.2">
      <c r="A31" s="86" t="s">
        <v>71</v>
      </c>
      <c r="B31" s="10"/>
      <c r="C31" s="14">
        <f>($H$2*2+$H6*4)/4*0</f>
        <v>0</v>
      </c>
      <c r="D31" s="14">
        <f>($H$2*2+$H6*4)/4*0</f>
        <v>0</v>
      </c>
      <c r="E31" s="14">
        <f>($H$2*2+$H6*4)/4*0</f>
        <v>0</v>
      </c>
      <c r="F31" s="10">
        <f>$H6*0-($H$2*2+$H6*4)/4*0</f>
        <v>0</v>
      </c>
      <c r="G31" s="10">
        <f t="shared" ref="G31:G32" si="2">$H6*0.05</f>
        <v>250</v>
      </c>
      <c r="H31" s="10">
        <f t="shared" ref="H31:H32" si="3">$H6*0.9</f>
        <v>4500</v>
      </c>
      <c r="I31" s="10">
        <f t="shared" ref="I31:I32" si="4">$H6*0.05</f>
        <v>250</v>
      </c>
      <c r="J31" s="6" t="s">
        <v>6</v>
      </c>
      <c r="K31" s="3">
        <f t="shared" si="1"/>
        <v>5000</v>
      </c>
    </row>
    <row r="32" spans="1:11" x14ac:dyDescent="0.2">
      <c r="A32" s="86" t="s">
        <v>72</v>
      </c>
      <c r="B32" s="10"/>
      <c r="C32" s="14">
        <f>($H$2*2+$H7*4)/4*0</f>
        <v>0</v>
      </c>
      <c r="D32" s="14">
        <f>($H$2*2+$H7*4)/4*0</f>
        <v>0</v>
      </c>
      <c r="E32" s="14">
        <f>($H$2*2+$H7*4)/4*0</f>
        <v>0</v>
      </c>
      <c r="F32" s="10">
        <f>$H7*0-($H$2*2+$H7*4)/4*0</f>
        <v>0</v>
      </c>
      <c r="G32" s="10">
        <f t="shared" si="2"/>
        <v>250</v>
      </c>
      <c r="H32" s="10">
        <f t="shared" si="3"/>
        <v>4500</v>
      </c>
      <c r="I32" s="10">
        <f t="shared" si="4"/>
        <v>250</v>
      </c>
      <c r="J32" s="6" t="s">
        <v>6</v>
      </c>
      <c r="K32" s="3">
        <f t="shared" si="1"/>
        <v>5000</v>
      </c>
    </row>
    <row r="33" spans="1:11" x14ac:dyDescent="0.2">
      <c r="B33" s="6" t="s">
        <v>6</v>
      </c>
      <c r="C33" s="6"/>
      <c r="D33" s="6"/>
      <c r="E33" s="6"/>
      <c r="F33" s="6"/>
      <c r="G33" s="6"/>
      <c r="H33" s="6"/>
      <c r="I33" s="6"/>
      <c r="J33" s="6" t="s">
        <v>6</v>
      </c>
      <c r="K33" s="6" t="s">
        <v>6</v>
      </c>
    </row>
    <row r="34" spans="1:11" x14ac:dyDescent="0.2">
      <c r="A34" s="1" t="s">
        <v>3</v>
      </c>
      <c r="B34" s="4">
        <f>SUM(B24:B33)</f>
        <v>0</v>
      </c>
      <c r="C34" s="4">
        <f>SUM(C24:C33)</f>
        <v>0</v>
      </c>
      <c r="D34" s="4">
        <f>SUM(D24:D33)</f>
        <v>0</v>
      </c>
      <c r="E34" s="4">
        <f>SUM(E24:E33)</f>
        <v>0</v>
      </c>
      <c r="F34" s="4">
        <f>SUM(F24:F33)</f>
        <v>0</v>
      </c>
      <c r="G34" s="4">
        <f>SUM(G24:G33)</f>
        <v>4822.4719101123592</v>
      </c>
      <c r="H34" s="4">
        <f>SUM(H24:H33)</f>
        <v>23102.247191011236</v>
      </c>
      <c r="I34" s="4">
        <f>SUM(I24:I33)</f>
        <v>1075.2808988764045</v>
      </c>
      <c r="J34" s="4"/>
      <c r="K34" s="4">
        <f>SUM(K24:K33)</f>
        <v>29000</v>
      </c>
    </row>
    <row r="35" spans="1:11" x14ac:dyDescent="0.2">
      <c r="A35" s="1"/>
      <c r="B35" s="6" t="s">
        <v>6</v>
      </c>
      <c r="C35" s="6" t="s">
        <v>6</v>
      </c>
      <c r="D35" s="6" t="s">
        <v>6</v>
      </c>
      <c r="E35" s="6" t="s">
        <v>6</v>
      </c>
      <c r="F35" s="6" t="s">
        <v>6</v>
      </c>
      <c r="G35" s="6" t="s">
        <v>6</v>
      </c>
      <c r="H35" s="6" t="s">
        <v>6</v>
      </c>
      <c r="I35" s="6" t="s">
        <v>6</v>
      </c>
      <c r="J35" s="6" t="s">
        <v>6</v>
      </c>
      <c r="K35" s="6" t="s">
        <v>6</v>
      </c>
    </row>
    <row r="36" spans="1:11" x14ac:dyDescent="0.2">
      <c r="A36" s="1" t="s">
        <v>5</v>
      </c>
      <c r="B36" s="4">
        <f>SUM(B34-B19)</f>
        <v>0</v>
      </c>
      <c r="C36" s="4">
        <f>SUM(C34-C19)</f>
        <v>0</v>
      </c>
      <c r="D36" s="4">
        <f>SUM(D34-D19)</f>
        <v>0</v>
      </c>
      <c r="E36" s="4">
        <f>SUM(E34-E19)</f>
        <v>0</v>
      </c>
      <c r="F36" s="4">
        <f>SUM(F34-F19)</f>
        <v>0</v>
      </c>
      <c r="G36" s="4">
        <f>SUM(G34-G19)</f>
        <v>-2927.5280898876408</v>
      </c>
      <c r="H36" s="4">
        <f>SUM(H34-H19)</f>
        <v>2602.2471910112363</v>
      </c>
      <c r="I36" s="4">
        <f>SUM(I34-I19)</f>
        <v>325.28089887640454</v>
      </c>
      <c r="J36" s="4"/>
      <c r="K36" s="4">
        <f>SUM(K34-K19)</f>
        <v>0</v>
      </c>
    </row>
    <row r="37" spans="1:11" s="84" customFormat="1" x14ac:dyDescent="0.2"/>
    <row r="38" spans="1:11" x14ac:dyDescent="0.2">
      <c r="A38" s="8" t="s">
        <v>59</v>
      </c>
    </row>
    <row r="39" spans="1:11" s="10" customFormat="1" x14ac:dyDescent="0.2">
      <c r="A39" s="4" t="s">
        <v>60</v>
      </c>
    </row>
    <row r="40" spans="1:11" s="10" customFormat="1" x14ac:dyDescent="0.2"/>
    <row r="41" spans="1:11" s="10" customFormat="1" x14ac:dyDescent="0.2"/>
    <row r="42" spans="1:11" s="10" customFormat="1" x14ac:dyDescent="0.2"/>
    <row r="43" spans="1:11" s="10" customFormat="1" x14ac:dyDescent="0.2"/>
    <row r="44" spans="1:11" s="10" customFormat="1" x14ac:dyDescent="0.2"/>
    <row r="45" spans="1:11" s="10" customFormat="1" x14ac:dyDescent="0.2"/>
    <row r="46" spans="1:11" s="10" customFormat="1" x14ac:dyDescent="0.2"/>
    <row r="47" spans="1:11" s="10" customFormat="1" x14ac:dyDescent="0.2"/>
    <row r="48" spans="1:11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  <row r="77" s="10" customFormat="1" x14ac:dyDescent="0.2"/>
    <row r="78" s="10" customFormat="1" x14ac:dyDescent="0.2"/>
    <row r="79" s="10" customFormat="1" x14ac:dyDescent="0.2"/>
    <row r="80" s="10" customFormat="1" x14ac:dyDescent="0.2"/>
    <row r="81" s="10" customFormat="1" x14ac:dyDescent="0.2"/>
    <row r="82" s="10" customFormat="1" x14ac:dyDescent="0.2"/>
    <row r="83" s="10" customFormat="1" x14ac:dyDescent="0.2"/>
    <row r="84" s="10" customFormat="1" x14ac:dyDescent="0.2"/>
    <row r="85" s="10" customFormat="1" x14ac:dyDescent="0.2"/>
    <row r="86" s="10" customFormat="1" x14ac:dyDescent="0.2"/>
    <row r="87" s="10" customFormat="1" x14ac:dyDescent="0.2"/>
    <row r="88" s="10" customFormat="1" x14ac:dyDescent="0.2"/>
    <row r="89" s="10" customFormat="1" x14ac:dyDescent="0.2"/>
    <row r="90" s="10" customFormat="1" x14ac:dyDescent="0.2"/>
    <row r="91" s="10" customFormat="1" x14ac:dyDescent="0.2"/>
    <row r="92" s="10" customFormat="1" x14ac:dyDescent="0.2"/>
    <row r="93" s="10" customFormat="1" x14ac:dyDescent="0.2"/>
    <row r="94" s="10" customFormat="1" x14ac:dyDescent="0.2"/>
    <row r="95" s="10" customFormat="1" x14ac:dyDescent="0.2"/>
    <row r="96" s="10" customFormat="1" x14ac:dyDescent="0.2"/>
    <row r="97" s="10" customFormat="1" x14ac:dyDescent="0.2"/>
    <row r="98" s="10" customFormat="1" x14ac:dyDescent="0.2"/>
    <row r="99" s="10" customFormat="1" x14ac:dyDescent="0.2"/>
    <row r="100" s="10" customFormat="1" x14ac:dyDescent="0.2"/>
    <row r="101" s="10" customFormat="1" x14ac:dyDescent="0.2"/>
    <row r="102" s="10" customFormat="1" x14ac:dyDescent="0.2"/>
    <row r="103" s="10" customFormat="1" x14ac:dyDescent="0.2"/>
    <row r="104" s="10" customFormat="1" x14ac:dyDescent="0.2"/>
    <row r="105" s="10" customFormat="1" x14ac:dyDescent="0.2"/>
    <row r="106" s="10" customFormat="1" x14ac:dyDescent="0.2"/>
    <row r="107" s="10" customFormat="1" x14ac:dyDescent="0.2"/>
    <row r="108" s="10" customFormat="1" x14ac:dyDescent="0.2"/>
    <row r="109" s="10" customFormat="1" x14ac:dyDescent="0.2"/>
    <row r="110" s="10" customFormat="1" x14ac:dyDescent="0.2"/>
    <row r="111" s="10" customFormat="1" x14ac:dyDescent="0.2"/>
    <row r="112" s="10" customFormat="1" x14ac:dyDescent="0.2"/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  <row r="119" s="10" customFormat="1" x14ac:dyDescent="0.2"/>
    <row r="120" s="10" customFormat="1" x14ac:dyDescent="0.2"/>
    <row r="121" s="10" customFormat="1" x14ac:dyDescent="0.2"/>
    <row r="122" s="10" customFormat="1" x14ac:dyDescent="0.2"/>
    <row r="123" s="10" customFormat="1" x14ac:dyDescent="0.2"/>
    <row r="124" s="10" customFormat="1" x14ac:dyDescent="0.2"/>
    <row r="125" s="10" customFormat="1" x14ac:dyDescent="0.2"/>
    <row r="126" s="10" customFormat="1" x14ac:dyDescent="0.2"/>
    <row r="127" s="10" customFormat="1" x14ac:dyDescent="0.2"/>
    <row r="128" s="10" customFormat="1" x14ac:dyDescent="0.2"/>
  </sheetData>
  <mergeCells count="1">
    <mergeCell ref="G1:H1"/>
  </mergeCells>
  <phoneticPr fontId="0" type="noConversion"/>
  <printOptions horizontalCentered="1"/>
  <pageMargins left="0.2" right="0.2" top="0.5" bottom="0.5" header="0.5" footer="0.5"/>
  <pageSetup scale="72" orientation="landscape" horizontalDpi="300" verticalDpi="300" r:id="rId1"/>
  <headerFooter alignWithMargins="0">
    <oddFooter>&amp;L
&amp;R&amp;D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40"/>
  <sheetViews>
    <sheetView zoomScaleNormal="100" workbookViewId="0">
      <selection activeCell="D40" sqref="D40:F40"/>
    </sheetView>
  </sheetViews>
  <sheetFormatPr defaultRowHeight="12.75" x14ac:dyDescent="0.2"/>
  <cols>
    <col min="1" max="1" width="12.7109375" customWidth="1"/>
    <col min="2" max="2" width="6.140625" bestFit="1" customWidth="1"/>
    <col min="3" max="3" width="9.85546875" customWidth="1"/>
    <col min="4" max="4" width="11.140625" customWidth="1"/>
    <col min="5" max="5" width="13.28515625" customWidth="1"/>
    <col min="6" max="6" width="14.140625" customWidth="1"/>
    <col min="7" max="7" width="18.140625" customWidth="1"/>
    <col min="8" max="8" width="16.42578125" customWidth="1"/>
    <col min="9" max="9" width="17.85546875" customWidth="1"/>
    <col min="10" max="10" width="20.7109375" customWidth="1"/>
    <col min="11" max="11" width="11" customWidth="1"/>
    <col min="12" max="14" width="13.42578125" customWidth="1"/>
    <col min="15" max="15" width="11.28515625" bestFit="1" customWidth="1"/>
  </cols>
  <sheetData>
    <row r="1" spans="1:19" ht="30" x14ac:dyDescent="0.4">
      <c r="A1" s="88" t="s">
        <v>43</v>
      </c>
      <c r="B1" s="88"/>
      <c r="C1" s="88"/>
      <c r="D1" s="88"/>
      <c r="E1" s="88"/>
      <c r="F1" s="88"/>
      <c r="G1" s="88"/>
      <c r="H1" s="88"/>
      <c r="I1" s="88"/>
      <c r="J1" s="88"/>
    </row>
    <row r="2" spans="1:19" ht="30" x14ac:dyDescent="0.4">
      <c r="A2" s="88" t="s">
        <v>63</v>
      </c>
      <c r="B2" s="88"/>
      <c r="C2" s="88"/>
      <c r="D2" s="88"/>
      <c r="E2" s="88"/>
      <c r="F2" s="88"/>
      <c r="G2" s="88"/>
      <c r="H2" s="88"/>
      <c r="I2" s="88"/>
      <c r="J2" s="88"/>
    </row>
    <row r="3" spans="1:19" s="66" customFormat="1" ht="15.6" customHeight="1" x14ac:dyDescent="0.2">
      <c r="B3" s="11"/>
      <c r="C3" s="11"/>
      <c r="D3" s="11"/>
      <c r="E3" s="11"/>
      <c r="F3" s="11"/>
      <c r="G3"/>
      <c r="H3"/>
      <c r="I3"/>
      <c r="J3"/>
      <c r="K3" s="73"/>
      <c r="L3" s="73"/>
      <c r="M3" s="73"/>
      <c r="N3" s="73"/>
      <c r="P3" s="11"/>
      <c r="Q3" s="67"/>
      <c r="R3" s="67"/>
      <c r="S3" s="67"/>
    </row>
    <row r="4" spans="1:19" s="66" customFormat="1" ht="16.899999999999999" customHeight="1" x14ac:dyDescent="0.2">
      <c r="B4" s="11"/>
      <c r="C4" s="11"/>
      <c r="D4" s="11"/>
      <c r="E4" s="11"/>
      <c r="F4" s="11"/>
      <c r="G4"/>
      <c r="H4"/>
      <c r="I4"/>
      <c r="J4"/>
      <c r="K4" s="73"/>
      <c r="L4" s="73"/>
      <c r="M4" s="73"/>
      <c r="N4" s="73"/>
      <c r="P4" s="11"/>
      <c r="Q4" s="67"/>
      <c r="R4" s="67"/>
      <c r="S4" s="67"/>
    </row>
    <row r="5" spans="1:19" x14ac:dyDescent="0.2">
      <c r="A5" s="17" t="s">
        <v>38</v>
      </c>
      <c r="C5" s="80" t="str">
        <f>'20-21 Analysis Fall'!C1</f>
        <v>Ann Arbor/Flint</v>
      </c>
      <c r="D5" s="80"/>
      <c r="E5" s="82"/>
      <c r="F5" s="72"/>
      <c r="K5" s="29"/>
      <c r="L5" s="29"/>
      <c r="M5" s="29"/>
      <c r="N5" s="29"/>
    </row>
    <row r="6" spans="1:19" x14ac:dyDescent="0.2">
      <c r="A6" s="17" t="s">
        <v>39</v>
      </c>
      <c r="C6" s="53" t="str">
        <f>'20-21 Analysis Fall'!C2</f>
        <v>Non-Sponsored Fall DBE Proration</v>
      </c>
      <c r="D6" s="17"/>
      <c r="E6" s="11"/>
      <c r="K6" s="29"/>
      <c r="L6" s="29"/>
      <c r="M6" s="29"/>
      <c r="N6" s="29"/>
    </row>
    <row r="7" spans="1:19" x14ac:dyDescent="0.2">
      <c r="A7" s="17" t="s">
        <v>9</v>
      </c>
      <c r="C7" s="90" t="s">
        <v>75</v>
      </c>
      <c r="D7" s="17"/>
      <c r="E7" s="34"/>
      <c r="K7" s="74"/>
      <c r="L7" s="74"/>
      <c r="M7" s="74"/>
      <c r="N7" s="29"/>
    </row>
    <row r="8" spans="1:19" x14ac:dyDescent="0.2">
      <c r="K8" s="18"/>
      <c r="L8" s="18"/>
      <c r="M8" s="18"/>
      <c r="N8" s="83"/>
    </row>
    <row r="9" spans="1:19" x14ac:dyDescent="0.2">
      <c r="A9" s="17" t="s">
        <v>40</v>
      </c>
      <c r="C9" s="53" t="s">
        <v>57</v>
      </c>
      <c r="D9" s="8"/>
      <c r="K9" s="35"/>
      <c r="L9" s="35"/>
      <c r="M9" s="35"/>
      <c r="N9" s="83"/>
    </row>
    <row r="10" spans="1:19" x14ac:dyDescent="0.2">
      <c r="A10" s="20" t="s">
        <v>10</v>
      </c>
      <c r="B10" t="s">
        <v>19</v>
      </c>
      <c r="C10" s="20" t="s">
        <v>10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9" x14ac:dyDescent="0.2">
      <c r="A11" s="65"/>
      <c r="B11" s="21"/>
      <c r="C11" s="37"/>
      <c r="D11" s="37"/>
      <c r="E11" s="37"/>
      <c r="F11" s="36"/>
      <c r="G11" s="38" t="s">
        <v>23</v>
      </c>
      <c r="H11" s="36"/>
      <c r="I11" s="38" t="s">
        <v>23</v>
      </c>
      <c r="J11" s="36" t="s">
        <v>42</v>
      </c>
      <c r="K11" s="37"/>
      <c r="L11" s="11"/>
      <c r="M11" s="11"/>
      <c r="N11" s="11"/>
      <c r="O11" s="20"/>
    </row>
    <row r="12" spans="1:19" x14ac:dyDescent="0.2">
      <c r="A12" s="65" t="s">
        <v>12</v>
      </c>
      <c r="B12" s="21"/>
      <c r="C12" s="36" t="s">
        <v>30</v>
      </c>
      <c r="D12" s="36"/>
      <c r="E12" s="36" t="s">
        <v>12</v>
      </c>
      <c r="F12" s="36" t="s">
        <v>41</v>
      </c>
      <c r="G12" s="28" t="s">
        <v>22</v>
      </c>
      <c r="H12" s="28" t="s">
        <v>41</v>
      </c>
      <c r="I12" s="28" t="s">
        <v>24</v>
      </c>
      <c r="J12" s="63" t="s">
        <v>51</v>
      </c>
      <c r="K12" s="37"/>
      <c r="L12" s="11"/>
      <c r="M12" s="11"/>
      <c r="N12" s="11"/>
      <c r="O12" s="20"/>
    </row>
    <row r="13" spans="1:19" x14ac:dyDescent="0.2">
      <c r="A13" s="22" t="s">
        <v>14</v>
      </c>
      <c r="B13" s="22" t="s">
        <v>11</v>
      </c>
      <c r="C13" s="23" t="s">
        <v>31</v>
      </c>
      <c r="D13" s="23" t="s">
        <v>12</v>
      </c>
      <c r="E13" s="23" t="s">
        <v>13</v>
      </c>
      <c r="F13" s="23" t="s">
        <v>22</v>
      </c>
      <c r="G13" s="42" t="s">
        <v>53</v>
      </c>
      <c r="H13" s="23" t="s">
        <v>24</v>
      </c>
      <c r="I13" s="42" t="s">
        <v>53</v>
      </c>
      <c r="J13" s="64" t="s">
        <v>52</v>
      </c>
      <c r="K13" s="37"/>
      <c r="L13" s="24"/>
      <c r="M13" s="24"/>
      <c r="N13" s="24"/>
    </row>
    <row r="14" spans="1:19" x14ac:dyDescent="0.2">
      <c r="A14" s="75" t="s">
        <v>76</v>
      </c>
      <c r="B14" s="21">
        <v>0</v>
      </c>
      <c r="C14" s="62">
        <f>'20-21 Analysis Fall'!F2</f>
        <v>0.5</v>
      </c>
      <c r="D14" s="48">
        <v>122580</v>
      </c>
      <c r="E14" s="69">
        <v>0.5</v>
      </c>
      <c r="F14" s="39">
        <f>'20-21 Analysis Fall'!H2</f>
        <v>4500</v>
      </c>
      <c r="G14" s="26">
        <f>E14*F14</f>
        <v>2250</v>
      </c>
      <c r="H14" s="26">
        <f>'20-21 Analysis Fall'!H4</f>
        <v>5000</v>
      </c>
      <c r="I14" s="26">
        <f>E14*H14</f>
        <v>2500</v>
      </c>
      <c r="J14" s="50">
        <f>G14*2+I14*4</f>
        <v>14500</v>
      </c>
      <c r="K14" s="55"/>
      <c r="L14" s="33"/>
      <c r="M14" s="33"/>
      <c r="N14" s="33"/>
    </row>
    <row r="15" spans="1:19" x14ac:dyDescent="0.2">
      <c r="A15" s="21" t="str">
        <f>A14</f>
        <v>8/31-9/30</v>
      </c>
      <c r="B15" s="21">
        <f>B14</f>
        <v>0</v>
      </c>
      <c r="C15" s="62">
        <f>C14</f>
        <v>0.5</v>
      </c>
      <c r="D15" s="48">
        <v>184456</v>
      </c>
      <c r="E15" s="69">
        <v>0.5</v>
      </c>
      <c r="F15" s="39">
        <f>$F$14/$C$14*C15</f>
        <v>4500</v>
      </c>
      <c r="G15" s="26">
        <f>E15*F15</f>
        <v>2250</v>
      </c>
      <c r="H15" s="39">
        <f>$H$14/$C$14*C15</f>
        <v>5000</v>
      </c>
      <c r="I15" s="26">
        <f>E15*H15</f>
        <v>2500</v>
      </c>
      <c r="J15" s="51">
        <f>G15*2+I15*4</f>
        <v>14500</v>
      </c>
      <c r="K15" s="40"/>
      <c r="L15" s="33"/>
      <c r="M15" s="33"/>
      <c r="N15" s="33"/>
    </row>
    <row r="16" spans="1:19" x14ac:dyDescent="0.2">
      <c r="A16" s="21"/>
      <c r="B16" s="21"/>
      <c r="C16" s="62"/>
      <c r="D16" s="48"/>
      <c r="E16" s="69"/>
      <c r="F16" s="39"/>
      <c r="G16" s="26"/>
      <c r="H16" s="39"/>
      <c r="I16" s="26"/>
      <c r="J16" s="51"/>
      <c r="K16" s="40"/>
      <c r="L16" s="33"/>
      <c r="M16" s="33"/>
      <c r="N16" s="33"/>
    </row>
    <row r="17" spans="1:15" x14ac:dyDescent="0.2">
      <c r="A17" s="21" t="s">
        <v>77</v>
      </c>
      <c r="B17" s="21">
        <f t="shared" ref="B17:B19" si="0">B16</f>
        <v>0</v>
      </c>
      <c r="C17" s="62">
        <v>0.5</v>
      </c>
      <c r="D17" s="48">
        <v>122580</v>
      </c>
      <c r="E17" s="69">
        <v>0.05</v>
      </c>
      <c r="F17" s="39">
        <f t="shared" ref="F17:F19" si="1">$F$14/$C$14*C17</f>
        <v>4500</v>
      </c>
      <c r="G17" s="26">
        <f t="shared" ref="G17:G19" si="2">E17*F17</f>
        <v>225</v>
      </c>
      <c r="H17" s="39">
        <f t="shared" ref="H17:H19" si="3">$H$14/$C$14*C17</f>
        <v>5000</v>
      </c>
      <c r="I17" s="26">
        <f t="shared" ref="I17:I19" si="4">E17*H17</f>
        <v>250</v>
      </c>
      <c r="J17" s="51">
        <f t="shared" ref="J17:J19" si="5">G17*2+I17*4</f>
        <v>1450</v>
      </c>
      <c r="K17" s="40"/>
      <c r="L17" s="33"/>
      <c r="M17" s="33"/>
      <c r="N17" s="33"/>
    </row>
    <row r="18" spans="1:15" x14ac:dyDescent="0.2">
      <c r="A18" s="21" t="str">
        <f t="shared" ref="A18:A19" si="6">A17</f>
        <v>10/1-12/31</v>
      </c>
      <c r="B18" s="21">
        <f t="shared" si="0"/>
        <v>0</v>
      </c>
      <c r="C18" s="62">
        <f t="shared" ref="C18:C19" si="7">C17</f>
        <v>0.5</v>
      </c>
      <c r="D18" s="48">
        <v>184456</v>
      </c>
      <c r="E18" s="69">
        <v>0.9</v>
      </c>
      <c r="F18" s="39">
        <f t="shared" si="1"/>
        <v>4500</v>
      </c>
      <c r="G18" s="26">
        <f t="shared" si="2"/>
        <v>4050</v>
      </c>
      <c r="H18" s="39">
        <f t="shared" si="3"/>
        <v>5000</v>
      </c>
      <c r="I18" s="26">
        <f t="shared" si="4"/>
        <v>4500</v>
      </c>
      <c r="J18" s="51">
        <f t="shared" si="5"/>
        <v>26100</v>
      </c>
      <c r="K18" s="40"/>
      <c r="L18" s="33"/>
      <c r="M18" s="33"/>
      <c r="N18" s="33"/>
    </row>
    <row r="19" spans="1:15" x14ac:dyDescent="0.2">
      <c r="A19" s="21" t="str">
        <f t="shared" si="6"/>
        <v>10/1-12/31</v>
      </c>
      <c r="B19" s="21">
        <f t="shared" si="0"/>
        <v>0</v>
      </c>
      <c r="C19" s="62">
        <f t="shared" si="7"/>
        <v>0.5</v>
      </c>
      <c r="D19" s="48">
        <v>412158</v>
      </c>
      <c r="E19" s="69">
        <v>0.05</v>
      </c>
      <c r="F19" s="39">
        <f t="shared" si="1"/>
        <v>4500</v>
      </c>
      <c r="G19" s="26">
        <f t="shared" si="2"/>
        <v>225</v>
      </c>
      <c r="H19" s="39">
        <f t="shared" si="3"/>
        <v>5000</v>
      </c>
      <c r="I19" s="26">
        <f t="shared" si="4"/>
        <v>250</v>
      </c>
      <c r="J19" s="51">
        <f t="shared" si="5"/>
        <v>1450</v>
      </c>
      <c r="K19" s="40"/>
      <c r="L19" s="33"/>
      <c r="M19" s="33"/>
      <c r="N19" s="33"/>
    </row>
    <row r="20" spans="1:15" x14ac:dyDescent="0.2">
      <c r="A20" s="21"/>
      <c r="B20" s="21"/>
      <c r="C20" s="47"/>
      <c r="D20" s="25"/>
      <c r="E20" s="25"/>
      <c r="F20" s="39"/>
      <c r="G20" s="26"/>
      <c r="H20" s="26"/>
      <c r="I20" s="26"/>
      <c r="J20" s="51"/>
      <c r="K20" s="32"/>
      <c r="L20" s="32"/>
      <c r="M20" s="32"/>
      <c r="N20" s="32"/>
    </row>
    <row r="21" spans="1:15" x14ac:dyDescent="0.2">
      <c r="A21" s="20" t="s">
        <v>10</v>
      </c>
      <c r="B21" t="s">
        <v>19</v>
      </c>
      <c r="C21" s="27" t="s">
        <v>10</v>
      </c>
      <c r="D21" s="27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15" x14ac:dyDescent="0.2">
      <c r="A22" s="65" t="s">
        <v>12</v>
      </c>
      <c r="B22" s="21"/>
      <c r="C22" s="37" t="s">
        <v>30</v>
      </c>
      <c r="D22" s="37"/>
      <c r="E22" s="37" t="s">
        <v>21</v>
      </c>
      <c r="F22" s="28" t="s">
        <v>42</v>
      </c>
      <c r="G22" s="28" t="s">
        <v>48</v>
      </c>
      <c r="H22" s="36" t="s">
        <v>49</v>
      </c>
      <c r="I22" s="11" t="s">
        <v>50</v>
      </c>
      <c r="J22" s="36"/>
      <c r="K22" s="11"/>
      <c r="L22" s="11"/>
      <c r="M22" s="11"/>
      <c r="N22" s="11"/>
      <c r="O22" s="20"/>
    </row>
    <row r="23" spans="1:15" x14ac:dyDescent="0.2">
      <c r="A23" s="22" t="s">
        <v>14</v>
      </c>
      <c r="B23" s="22" t="s">
        <v>11</v>
      </c>
      <c r="C23" s="23" t="s">
        <v>31</v>
      </c>
      <c r="D23" s="42" t="s">
        <v>12</v>
      </c>
      <c r="E23" s="23" t="s">
        <v>13</v>
      </c>
      <c r="F23" s="42" t="s">
        <v>47</v>
      </c>
      <c r="G23" s="23" t="s">
        <v>62</v>
      </c>
      <c r="H23" s="23" t="s">
        <v>64</v>
      </c>
      <c r="I23" s="54" t="s">
        <v>25</v>
      </c>
      <c r="J23" s="54" t="s">
        <v>15</v>
      </c>
      <c r="K23" s="24"/>
      <c r="L23" s="24"/>
      <c r="M23" s="24"/>
      <c r="N23" s="24"/>
    </row>
    <row r="24" spans="1:15" x14ac:dyDescent="0.2">
      <c r="A24" s="52" t="str">
        <f>A14</f>
        <v>8/31-9/30</v>
      </c>
      <c r="B24" s="21">
        <f>B14</f>
        <v>0</v>
      </c>
      <c r="C24" s="56">
        <f>C14</f>
        <v>0.5</v>
      </c>
      <c r="D24" s="48">
        <f>D14</f>
        <v>122580</v>
      </c>
      <c r="E24" s="56">
        <f>E14</f>
        <v>0.5</v>
      </c>
      <c r="F24" s="61">
        <f>J14</f>
        <v>14500</v>
      </c>
      <c r="G24" s="58">
        <v>23</v>
      </c>
      <c r="H24" s="57">
        <v>89</v>
      </c>
      <c r="I24" s="26">
        <f>F24*G24/H24</f>
        <v>3747.1910112359551</v>
      </c>
      <c r="J24" s="50"/>
      <c r="K24" s="10"/>
      <c r="L24" s="10"/>
      <c r="M24" s="10"/>
      <c r="N24" s="10"/>
    </row>
    <row r="25" spans="1:15" x14ac:dyDescent="0.2">
      <c r="A25" s="21" t="str">
        <f>A15</f>
        <v>8/31-9/30</v>
      </c>
      <c r="B25" s="21">
        <f>B15</f>
        <v>0</v>
      </c>
      <c r="C25" s="56">
        <f>C15</f>
        <v>0.5</v>
      </c>
      <c r="D25" s="48">
        <f>D15</f>
        <v>184456</v>
      </c>
      <c r="E25" s="56">
        <f>E15</f>
        <v>0.5</v>
      </c>
      <c r="F25" s="61">
        <f>J15</f>
        <v>14500</v>
      </c>
      <c r="G25" s="58">
        <f>G24</f>
        <v>23</v>
      </c>
      <c r="H25" s="57">
        <f>H24</f>
        <v>89</v>
      </c>
      <c r="I25" s="26">
        <f>F25*G25/H25</f>
        <v>3747.1910112359551</v>
      </c>
      <c r="J25" s="51"/>
      <c r="K25" s="10"/>
      <c r="L25" s="10"/>
      <c r="M25" s="10"/>
      <c r="N25" s="10"/>
    </row>
    <row r="26" spans="1:15" x14ac:dyDescent="0.2">
      <c r="A26" s="21"/>
      <c r="B26" s="21"/>
      <c r="C26" s="56"/>
      <c r="D26" s="48"/>
      <c r="E26" s="56"/>
      <c r="F26" s="61"/>
      <c r="G26" s="58"/>
      <c r="H26" s="57"/>
      <c r="I26" s="26"/>
      <c r="J26" s="51"/>
      <c r="K26" s="10"/>
      <c r="L26" s="10"/>
      <c r="M26" s="10"/>
      <c r="N26" s="10"/>
    </row>
    <row r="27" spans="1:15" x14ac:dyDescent="0.2">
      <c r="A27" s="21" t="str">
        <f>A17</f>
        <v>10/1-12/31</v>
      </c>
      <c r="B27" s="21">
        <f>B17</f>
        <v>0</v>
      </c>
      <c r="C27" s="56">
        <f>C17</f>
        <v>0.5</v>
      </c>
      <c r="D27" s="48">
        <f>D17</f>
        <v>122580</v>
      </c>
      <c r="E27" s="56">
        <f>E17</f>
        <v>0.05</v>
      </c>
      <c r="F27" s="61">
        <f>J17</f>
        <v>1450</v>
      </c>
      <c r="G27" s="58">
        <v>66</v>
      </c>
      <c r="H27" s="57">
        <v>89</v>
      </c>
      <c r="I27" s="26">
        <f t="shared" ref="I27:I29" si="8">F27*G27/H27</f>
        <v>1075.2808988764045</v>
      </c>
      <c r="J27" s="51"/>
      <c r="K27" s="10"/>
      <c r="L27" s="10"/>
      <c r="M27" s="10"/>
      <c r="N27" s="10"/>
    </row>
    <row r="28" spans="1:15" x14ac:dyDescent="0.2">
      <c r="A28" s="21" t="str">
        <f>A18</f>
        <v>10/1-12/31</v>
      </c>
      <c r="B28" s="21">
        <f>B18</f>
        <v>0</v>
      </c>
      <c r="C28" s="56">
        <f>C18</f>
        <v>0.5</v>
      </c>
      <c r="D28" s="48">
        <f>D18</f>
        <v>184456</v>
      </c>
      <c r="E28" s="56">
        <f>E18</f>
        <v>0.9</v>
      </c>
      <c r="F28" s="61">
        <f>J18</f>
        <v>26100</v>
      </c>
      <c r="G28" s="58">
        <f t="shared" ref="G27:H29" si="9">G27</f>
        <v>66</v>
      </c>
      <c r="H28" s="57">
        <f t="shared" si="9"/>
        <v>89</v>
      </c>
      <c r="I28" s="26">
        <f t="shared" si="8"/>
        <v>19355.056179775282</v>
      </c>
      <c r="J28" s="51"/>
      <c r="K28" s="10"/>
      <c r="L28" s="10"/>
      <c r="M28" s="10"/>
      <c r="N28" s="10"/>
    </row>
    <row r="29" spans="1:15" x14ac:dyDescent="0.2">
      <c r="A29" s="21" t="str">
        <f>A19</f>
        <v>10/1-12/31</v>
      </c>
      <c r="B29" s="21">
        <f>B19</f>
        <v>0</v>
      </c>
      <c r="C29" s="56">
        <f>C19</f>
        <v>0.5</v>
      </c>
      <c r="D29" s="48">
        <f>D19</f>
        <v>412158</v>
      </c>
      <c r="E29" s="56">
        <f>E19</f>
        <v>0.05</v>
      </c>
      <c r="F29" s="61">
        <f>J19</f>
        <v>1450</v>
      </c>
      <c r="G29" s="58">
        <f t="shared" si="9"/>
        <v>66</v>
      </c>
      <c r="H29" s="57">
        <f t="shared" si="9"/>
        <v>89</v>
      </c>
      <c r="I29" s="26">
        <f t="shared" si="8"/>
        <v>1075.2808988764045</v>
      </c>
      <c r="J29" s="51"/>
      <c r="K29" s="10"/>
      <c r="L29" s="10"/>
      <c r="M29" s="10"/>
      <c r="N29" s="10"/>
    </row>
    <row r="30" spans="1:15" x14ac:dyDescent="0.2">
      <c r="A30" s="21"/>
      <c r="B30" s="21"/>
      <c r="C30" s="48"/>
      <c r="D30" s="25"/>
      <c r="E30" s="43"/>
      <c r="F30" s="44"/>
      <c r="G30" s="45"/>
      <c r="H30" s="46"/>
      <c r="I30" s="26"/>
      <c r="J30" s="51">
        <f>SUM(I24:I29)</f>
        <v>29000</v>
      </c>
      <c r="K30" s="10"/>
      <c r="L30" s="10"/>
      <c r="M30" s="10"/>
      <c r="N30" s="10"/>
    </row>
    <row r="31" spans="1:15" x14ac:dyDescent="0.2">
      <c r="A31" s="20" t="s">
        <v>10</v>
      </c>
      <c r="B31" t="s">
        <v>19</v>
      </c>
      <c r="C31" s="20" t="s">
        <v>10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x14ac:dyDescent="0.2">
      <c r="A32" s="8" t="s">
        <v>16</v>
      </c>
      <c r="C32" s="8"/>
      <c r="D32" s="30">
        <v>122580</v>
      </c>
      <c r="E32" s="30">
        <v>184456</v>
      </c>
      <c r="F32" s="30">
        <v>412158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11" t="s">
        <v>15</v>
      </c>
    </row>
    <row r="33" spans="1:62" x14ac:dyDescent="0.2">
      <c r="A33" s="41" t="s">
        <v>29</v>
      </c>
      <c r="B33" s="19" t="s">
        <v>20</v>
      </c>
      <c r="C33" s="41" t="s">
        <v>29</v>
      </c>
      <c r="D33" s="41"/>
      <c r="F33" s="41" t="s">
        <v>26</v>
      </c>
      <c r="G33" s="41" t="s">
        <v>26</v>
      </c>
      <c r="H33" s="41" t="s">
        <v>26</v>
      </c>
      <c r="I33" s="41" t="s">
        <v>26</v>
      </c>
      <c r="J33" s="41" t="s">
        <v>26</v>
      </c>
      <c r="K33" s="41" t="s">
        <v>26</v>
      </c>
      <c r="L33" s="41" t="s">
        <v>26</v>
      </c>
      <c r="M33" s="41" t="s">
        <v>26</v>
      </c>
      <c r="N33" s="41" t="s">
        <v>26</v>
      </c>
      <c r="O33" s="19" t="s">
        <v>17</v>
      </c>
    </row>
    <row r="34" spans="1:62" x14ac:dyDescent="0.2">
      <c r="A34" s="8" t="s">
        <v>44</v>
      </c>
      <c r="C34" s="8"/>
      <c r="D34" s="59">
        <f>I24+I27</f>
        <v>4822.4719101123592</v>
      </c>
      <c r="E34" s="49">
        <f>I25+I28</f>
        <v>23102.247191011236</v>
      </c>
      <c r="F34" s="10">
        <f>I29</f>
        <v>1075.2808988764045</v>
      </c>
      <c r="G34" s="10"/>
      <c r="H34" s="10"/>
      <c r="I34" s="10"/>
      <c r="J34" s="10"/>
      <c r="K34" s="10"/>
      <c r="L34" s="10"/>
      <c r="M34" s="10"/>
      <c r="N34" s="10"/>
      <c r="O34" s="78">
        <f>SUM(D34:N34)</f>
        <v>29000</v>
      </c>
    </row>
    <row r="35" spans="1:62" x14ac:dyDescent="0.2">
      <c r="A35" s="8" t="s">
        <v>54</v>
      </c>
      <c r="C35" s="8"/>
      <c r="D35" s="8"/>
      <c r="E35" s="29"/>
      <c r="F35" s="10"/>
      <c r="G35" s="10"/>
      <c r="H35" s="10"/>
      <c r="I35" s="10"/>
      <c r="J35" s="10"/>
      <c r="K35" s="10"/>
      <c r="L35" s="10"/>
      <c r="M35" s="10"/>
      <c r="N35" s="10"/>
      <c r="O35" s="31"/>
    </row>
    <row r="36" spans="1:62" x14ac:dyDescent="0.2">
      <c r="A36" s="41" t="s">
        <v>29</v>
      </c>
      <c r="B36" s="19" t="s">
        <v>20</v>
      </c>
      <c r="C36" s="41" t="s">
        <v>29</v>
      </c>
      <c r="D36" s="41"/>
      <c r="F36" s="41" t="s">
        <v>27</v>
      </c>
      <c r="G36" s="41" t="s">
        <v>27</v>
      </c>
      <c r="H36" s="41" t="s">
        <v>27</v>
      </c>
      <c r="I36" s="41" t="s">
        <v>27</v>
      </c>
      <c r="J36" s="41" t="s">
        <v>27</v>
      </c>
      <c r="K36" s="41" t="s">
        <v>27</v>
      </c>
      <c r="L36" s="41" t="s">
        <v>27</v>
      </c>
      <c r="M36" s="41" t="s">
        <v>27</v>
      </c>
      <c r="N36" s="41" t="s">
        <v>27</v>
      </c>
      <c r="O36" s="19" t="s">
        <v>17</v>
      </c>
    </row>
    <row r="37" spans="1:62" x14ac:dyDescent="0.2">
      <c r="A37" s="16" t="s">
        <v>45</v>
      </c>
      <c r="C37" s="16"/>
      <c r="D37" s="60">
        <v>7750</v>
      </c>
      <c r="E37" s="14">
        <v>20500</v>
      </c>
      <c r="F37" s="14">
        <v>750</v>
      </c>
      <c r="G37" s="14"/>
      <c r="H37" s="14"/>
      <c r="I37" s="14"/>
      <c r="J37" s="14"/>
      <c r="K37" s="14"/>
      <c r="L37" s="14"/>
      <c r="M37" s="14"/>
      <c r="N37" s="14"/>
      <c r="O37" s="78">
        <f>SUM(D37:N37)</f>
        <v>29000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0"/>
      <c r="AO37" s="10"/>
      <c r="AP37" s="10"/>
      <c r="AQ37" s="10"/>
      <c r="AR37" s="10"/>
      <c r="AS37" s="10"/>
    </row>
    <row r="38" spans="1:62" x14ac:dyDescent="0.2">
      <c r="A38" s="16" t="s">
        <v>46</v>
      </c>
      <c r="C38" s="16"/>
      <c r="D38" s="16"/>
      <c r="E38" s="29"/>
      <c r="F38" s="14"/>
      <c r="G38" s="14"/>
      <c r="H38" s="14"/>
      <c r="I38" s="14"/>
      <c r="J38" s="14"/>
      <c r="K38" s="14"/>
      <c r="L38" s="14"/>
      <c r="M38" s="14"/>
      <c r="N38" s="14"/>
      <c r="O38" s="31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0"/>
      <c r="AO38" s="10"/>
      <c r="AP38" s="10"/>
      <c r="AQ38" s="10"/>
      <c r="AR38" s="10"/>
      <c r="AS38" s="10"/>
    </row>
    <row r="39" spans="1:62" x14ac:dyDescent="0.2">
      <c r="A39" s="41" t="s">
        <v>29</v>
      </c>
      <c r="B39" s="19" t="s">
        <v>20</v>
      </c>
      <c r="C39" s="41" t="s">
        <v>29</v>
      </c>
      <c r="D39" s="41"/>
      <c r="F39" s="41" t="s">
        <v>28</v>
      </c>
      <c r="G39" s="41" t="s">
        <v>28</v>
      </c>
      <c r="H39" s="41" t="s">
        <v>28</v>
      </c>
      <c r="I39" s="41" t="s">
        <v>28</v>
      </c>
      <c r="J39" s="41" t="s">
        <v>28</v>
      </c>
      <c r="K39" s="41" t="s">
        <v>28</v>
      </c>
      <c r="L39" s="41" t="s">
        <v>28</v>
      </c>
      <c r="M39" s="41" t="s">
        <v>28</v>
      </c>
      <c r="N39" s="41" t="s">
        <v>28</v>
      </c>
      <c r="O39" s="19" t="s">
        <v>17</v>
      </c>
    </row>
    <row r="40" spans="1:62" x14ac:dyDescent="0.2">
      <c r="A40" s="16" t="s">
        <v>18</v>
      </c>
      <c r="C40" s="16"/>
      <c r="D40" s="76">
        <f>SUM(D34-D37)</f>
        <v>-2927.5280898876408</v>
      </c>
      <c r="E40" s="76">
        <f>SUM(E34-E37)</f>
        <v>2602.2471910112363</v>
      </c>
      <c r="F40" s="77">
        <f t="shared" ref="F40:O40" si="10">SUM(F34-F37)</f>
        <v>325.28089887640454</v>
      </c>
      <c r="G40" s="77">
        <f t="shared" si="10"/>
        <v>0</v>
      </c>
      <c r="H40" s="77">
        <f t="shared" si="10"/>
        <v>0</v>
      </c>
      <c r="I40" s="77">
        <f t="shared" si="10"/>
        <v>0</v>
      </c>
      <c r="J40" s="77">
        <f t="shared" si="10"/>
        <v>0</v>
      </c>
      <c r="K40" s="77">
        <f t="shared" si="10"/>
        <v>0</v>
      </c>
      <c r="L40" s="77">
        <f t="shared" si="10"/>
        <v>0</v>
      </c>
      <c r="M40" s="77">
        <f t="shared" si="10"/>
        <v>0</v>
      </c>
      <c r="N40" s="77">
        <f t="shared" si="10"/>
        <v>0</v>
      </c>
      <c r="O40" s="77">
        <f t="shared" si="10"/>
        <v>0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</row>
  </sheetData>
  <mergeCells count="2">
    <mergeCell ref="A1:J1"/>
    <mergeCell ref="A2:J2"/>
  </mergeCells>
  <phoneticPr fontId="6" type="noConversion"/>
  <pageMargins left="0.2" right="0.2" top="0.54" bottom="0.44" header="0.2" footer="0.2"/>
  <pageSetup scale="83" orientation="landscape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20-21 Analysis Fall</vt:lpstr>
      <vt:lpstr>Fall Term Proration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Customer</dc:creator>
  <cp:lastModifiedBy>Fleszar, Jon</cp:lastModifiedBy>
  <cp:lastPrinted>2020-01-02T18:26:19Z</cp:lastPrinted>
  <dcterms:created xsi:type="dcterms:W3CDTF">1998-09-01T15:24:32Z</dcterms:created>
  <dcterms:modified xsi:type="dcterms:W3CDTF">2020-08-21T15:15:16Z</dcterms:modified>
</cp:coreProperties>
</file>